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c964d94c985d25/Documents/CCM Board/financial statements/STATEMENT OF FINANCIAL/"/>
    </mc:Choice>
  </mc:AlternateContent>
  <xr:revisionPtr revIDLastSave="0" documentId="8_{B042D7CA-D4ED-450A-A203-AACB04B23D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fit and Loss YTD Comparis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2" i="1" l="1"/>
  <c r="B112" i="1"/>
  <c r="B111" i="1"/>
  <c r="C110" i="1"/>
  <c r="B110" i="1"/>
  <c r="C109" i="1"/>
  <c r="B109" i="1"/>
  <c r="C108" i="1"/>
  <c r="B108" i="1"/>
  <c r="C107" i="1"/>
  <c r="B107" i="1"/>
  <c r="B106" i="1"/>
  <c r="C105" i="1"/>
  <c r="B105" i="1"/>
  <c r="C104" i="1"/>
  <c r="B104" i="1"/>
  <c r="C103" i="1"/>
  <c r="B103" i="1"/>
  <c r="C102" i="1"/>
  <c r="B102" i="1"/>
  <c r="C101" i="1"/>
  <c r="B101" i="1"/>
  <c r="B100" i="1"/>
  <c r="C99" i="1"/>
  <c r="B99" i="1"/>
  <c r="B113" i="1" s="1"/>
  <c r="C98" i="1"/>
  <c r="C113" i="1" s="1"/>
  <c r="B98" i="1"/>
  <c r="C95" i="1"/>
  <c r="B95" i="1"/>
  <c r="C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C96" i="1" s="1"/>
  <c r="B86" i="1"/>
  <c r="B96" i="1" s="1"/>
  <c r="B84" i="1"/>
  <c r="B83" i="1"/>
  <c r="B114" i="1" s="1"/>
  <c r="C82" i="1"/>
  <c r="C83" i="1" s="1"/>
  <c r="C79" i="1"/>
  <c r="C77" i="1"/>
  <c r="B77" i="1"/>
  <c r="C75" i="1"/>
  <c r="B75" i="1"/>
  <c r="B74" i="1"/>
  <c r="C73" i="1"/>
  <c r="C76" i="1" s="1"/>
  <c r="B73" i="1"/>
  <c r="B76" i="1" s="1"/>
  <c r="B70" i="1"/>
  <c r="B69" i="1"/>
  <c r="C67" i="1"/>
  <c r="C66" i="1"/>
  <c r="B66" i="1"/>
  <c r="B65" i="1"/>
  <c r="C64" i="1"/>
  <c r="B64" i="1"/>
  <c r="C63" i="1"/>
  <c r="C62" i="1"/>
  <c r="C61" i="1"/>
  <c r="B61" i="1"/>
  <c r="C60" i="1"/>
  <c r="B60" i="1"/>
  <c r="C59" i="1"/>
  <c r="C58" i="1"/>
  <c r="B58" i="1"/>
  <c r="C57" i="1"/>
  <c r="B57" i="1"/>
  <c r="C56" i="1"/>
  <c r="B56" i="1"/>
  <c r="B55" i="1"/>
  <c r="C53" i="1"/>
  <c r="C54" i="1" s="1"/>
  <c r="B53" i="1"/>
  <c r="C52" i="1"/>
  <c r="B52" i="1"/>
  <c r="B54" i="1" s="1"/>
  <c r="C51" i="1"/>
  <c r="B51" i="1"/>
  <c r="C50" i="1"/>
  <c r="B50" i="1"/>
  <c r="B49" i="1"/>
  <c r="C48" i="1"/>
  <c r="B48" i="1"/>
  <c r="C47" i="1"/>
  <c r="B47" i="1"/>
  <c r="C46" i="1"/>
  <c r="C42" i="1"/>
  <c r="C43" i="1" s="1"/>
  <c r="B42" i="1"/>
  <c r="B43" i="1" s="1"/>
  <c r="B40" i="1"/>
  <c r="C39" i="1"/>
  <c r="C38" i="1"/>
  <c r="C37" i="1"/>
  <c r="C40" i="1" s="1"/>
  <c r="C30" i="1"/>
  <c r="B30" i="1"/>
  <c r="B31" i="1" s="1"/>
  <c r="C29" i="1"/>
  <c r="C28" i="1"/>
  <c r="C27" i="1"/>
  <c r="C26" i="1"/>
  <c r="B26" i="1"/>
  <c r="C25" i="1"/>
  <c r="C31" i="1" s="1"/>
  <c r="C21" i="1"/>
  <c r="C22" i="1" s="1"/>
  <c r="B21" i="1"/>
  <c r="B22" i="1" s="1"/>
  <c r="C20" i="1"/>
  <c r="B20" i="1"/>
  <c r="C19" i="1"/>
  <c r="B19" i="1"/>
  <c r="C18" i="1"/>
  <c r="B18" i="1"/>
  <c r="C17" i="1"/>
  <c r="B17" i="1"/>
  <c r="C13" i="1"/>
  <c r="C14" i="1" s="1"/>
  <c r="B13" i="1"/>
  <c r="B14" i="1" s="1"/>
  <c r="C11" i="1"/>
  <c r="B11" i="1"/>
  <c r="C10" i="1"/>
  <c r="C23" i="1" s="1"/>
  <c r="C32" i="1" s="1"/>
  <c r="C33" i="1" s="1"/>
  <c r="C34" i="1" s="1"/>
  <c r="B10" i="1"/>
  <c r="B23" i="1" s="1"/>
  <c r="B32" i="1" s="1"/>
  <c r="B33" i="1" s="1"/>
  <c r="B34" i="1" s="1"/>
  <c r="B68" i="1" l="1"/>
  <c r="B71" i="1" s="1"/>
  <c r="B78" i="1" s="1"/>
  <c r="B115" i="1" s="1"/>
  <c r="B116" i="1" s="1"/>
  <c r="B117" i="1" s="1"/>
  <c r="C68" i="1"/>
  <c r="C71" i="1" s="1"/>
  <c r="C78" i="1" s="1"/>
  <c r="C115" i="1" s="1"/>
  <c r="C116" i="1" s="1"/>
  <c r="C117" i="1" s="1"/>
  <c r="C114" i="1"/>
</calcChain>
</file>

<file path=xl/sharedStrings.xml><?xml version="1.0" encoding="utf-8"?>
<sst xmlns="http://schemas.openxmlformats.org/spreadsheetml/2006/main" count="118" uniqueCount="118">
  <si>
    <t>Total</t>
  </si>
  <si>
    <t>Jan - Feb, 2023</t>
  </si>
  <si>
    <t>Jan - Feb, 2022 (PY)</t>
  </si>
  <si>
    <t>Income</t>
  </si>
  <si>
    <t xml:space="preserve">   4 Offerings</t>
  </si>
  <si>
    <t xml:space="preserve">      400 General Offerings - Unrestricted</t>
  </si>
  <si>
    <t xml:space="preserve">         4005 Church - General</t>
  </si>
  <si>
    <t xml:space="preserve">         4010 Ind./Bus. - General</t>
  </si>
  <si>
    <t xml:space="preserve">         5 Earned revenues</t>
  </si>
  <si>
    <t xml:space="preserve">            5310 Interest-savings/short-term inv</t>
  </si>
  <si>
    <t xml:space="preserve">         Total 5 Earned revenues</t>
  </si>
  <si>
    <t xml:space="preserve">         5700 Thrift Store of CCM</t>
  </si>
  <si>
    <t xml:space="preserve">            5701 Sales Income</t>
  </si>
  <si>
    <t xml:space="preserve">               5710 Thrift Store Taxable Income</t>
  </si>
  <si>
    <t xml:space="preserve">               5711 Thrift Store Non-Taxable Income</t>
  </si>
  <si>
    <t xml:space="preserve">               5713 Sales Tax Collected</t>
  </si>
  <si>
    <t xml:space="preserve">               5714 Thrift Store Over/Short Account</t>
  </si>
  <si>
    <t xml:space="preserve">            Total 5701 Sales Income</t>
  </si>
  <si>
    <t xml:space="preserve">         Total 5700 Thrift Store of CCM</t>
  </si>
  <si>
    <t xml:space="preserve">      Total 400 General Offerings - Unrestricted</t>
  </si>
  <si>
    <t xml:space="preserve">      401 General Offerings - Restricted</t>
  </si>
  <si>
    <t xml:space="preserve">         4020 Diapers income - churches</t>
  </si>
  <si>
    <t xml:space="preserve">         4032 Hunger-Free McLeod</t>
  </si>
  <si>
    <t xml:space="preserve">         4035 Coat Drive Donations</t>
  </si>
  <si>
    <t xml:space="preserve">         4036 Utilities</t>
  </si>
  <si>
    <t xml:space="preserve">         4038 Laundry Income</t>
  </si>
  <si>
    <t xml:space="preserve">         5790 Wings of CCM Income</t>
  </si>
  <si>
    <t xml:space="preserve">      Total 401 General Offerings - Restricted</t>
  </si>
  <si>
    <t xml:space="preserve">   Total 4 Offerings</t>
  </si>
  <si>
    <t>Total Income</t>
  </si>
  <si>
    <t>Gross Profit</t>
  </si>
  <si>
    <t>Expenses</t>
  </si>
  <si>
    <t xml:space="preserve">   Administration</t>
  </si>
  <si>
    <t xml:space="preserve">      Admin Salary</t>
  </si>
  <si>
    <t xml:space="preserve">      Assistant Director Salary</t>
  </si>
  <si>
    <t xml:space="preserve">      Bookkeeper</t>
  </si>
  <si>
    <t xml:space="preserve">   Total Administration</t>
  </si>
  <si>
    <t xml:space="preserve">   Payroll Expenses</t>
  </si>
  <si>
    <t xml:space="preserve">      Taxes</t>
  </si>
  <si>
    <t xml:space="preserve">   Total Payroll Expenses</t>
  </si>
  <si>
    <t xml:space="preserve">   Restricted Expenses</t>
  </si>
  <si>
    <t xml:space="preserve">      7000 General Assistance</t>
  </si>
  <si>
    <t xml:space="preserve">         7005 General Expenses</t>
  </si>
  <si>
    <t xml:space="preserve">            7010 Lodging</t>
  </si>
  <si>
    <t xml:space="preserve">            7011 Queen's Inn Motel Room</t>
  </si>
  <si>
    <t xml:space="preserve">            7012 Custom Stay Residence &amp; Suites</t>
  </si>
  <si>
    <t xml:space="preserve">            7020 Car Repair</t>
  </si>
  <si>
    <t xml:space="preserve">            7030 Food - Groceries (clients)</t>
  </si>
  <si>
    <t xml:space="preserve">            7032 Hunger-Free McLeod</t>
  </si>
  <si>
    <t xml:space="preserve">               7033 Hunger Free Rent</t>
  </si>
  <si>
    <t xml:space="preserve">            Total 7032 Hunger-Free McLeod</t>
  </si>
  <si>
    <t xml:space="preserve">            7034 Provision of Personal Products</t>
  </si>
  <si>
    <t xml:space="preserve">            7035 Utilities</t>
  </si>
  <si>
    <t xml:space="preserve">            7040 Auto Fuel</t>
  </si>
  <si>
    <t xml:space="preserve">            7045 Transportation</t>
  </si>
  <si>
    <t xml:space="preserve">            7050 Insurance</t>
  </si>
  <si>
    <t xml:space="preserve">            7055 Rent Assist/Deposits</t>
  </si>
  <si>
    <t xml:space="preserve">            7060 Telephone</t>
  </si>
  <si>
    <t xml:space="preserve">            7070 Household Supplies</t>
  </si>
  <si>
    <t xml:space="preserve">            7071 Laundry Love</t>
  </si>
  <si>
    <t xml:space="preserve">            7080 Clothing</t>
  </si>
  <si>
    <t xml:space="preserve">            7081 Coat Drive Expense</t>
  </si>
  <si>
    <t xml:space="preserve">            7085 Diaper Expense</t>
  </si>
  <si>
    <t xml:space="preserve">            7087 School Supplies</t>
  </si>
  <si>
    <t xml:space="preserve">         Total 7005 General Expenses</t>
  </si>
  <si>
    <t xml:space="preserve">         7015 Jail Ministry</t>
  </si>
  <si>
    <t xml:space="preserve">         7036 Advertising/Promotional</t>
  </si>
  <si>
    <t xml:space="preserve">      Total 7000 General Assistance</t>
  </si>
  <si>
    <t xml:space="preserve">      7600 Parish Nurse Expenses</t>
  </si>
  <si>
    <t xml:space="preserve">         7601 Telephone</t>
  </si>
  <si>
    <t xml:space="preserve">         7603 Office Supplies</t>
  </si>
  <si>
    <t xml:space="preserve">         7610 Parish Nurse Salary</t>
  </si>
  <si>
    <t xml:space="preserve">      Total 7600 Parish Nurse Expenses</t>
  </si>
  <si>
    <t xml:space="preserve">      7900 Wings of CCM Expense</t>
  </si>
  <si>
    <t xml:space="preserve">   Total Restricted Expenses</t>
  </si>
  <si>
    <t xml:space="preserve">   Unapplied Cash Bill Payment Expense</t>
  </si>
  <si>
    <t xml:space="preserve">   Unrestricted Expenses</t>
  </si>
  <si>
    <t xml:space="preserve">      6560 Payroll Expenses</t>
  </si>
  <si>
    <t xml:space="preserve">         Taxes</t>
  </si>
  <si>
    <t xml:space="preserve">      Total 6560 Payroll Expenses</t>
  </si>
  <si>
    <t xml:space="preserve">      7580 Fundraising Expenses</t>
  </si>
  <si>
    <t xml:space="preserve">      7700 Thrift Store of CCM Expenses</t>
  </si>
  <si>
    <t xml:space="preserve">         7710 Thrift Store Rent</t>
  </si>
  <si>
    <t xml:space="preserve">         7712 Thrift Store Common Area Maint.</t>
  </si>
  <si>
    <t xml:space="preserve">         7720 Thrift Store Utilities</t>
  </si>
  <si>
    <t xml:space="preserve">         7725 Thrift Store Shared Utilities</t>
  </si>
  <si>
    <t xml:space="preserve">         7730 Thrift Store Telephone</t>
  </si>
  <si>
    <t xml:space="preserve">         7740 Thrift Store Supplies</t>
  </si>
  <si>
    <t xml:space="preserve">         7750 Thrift Store Building Expense</t>
  </si>
  <si>
    <t xml:space="preserve">         7760 Thrift Store Insurance</t>
  </si>
  <si>
    <t xml:space="preserve">         7770 Thrift Store - Misc Expense</t>
  </si>
  <si>
    <t xml:space="preserve">         7780 Sales Tax Payable</t>
  </si>
  <si>
    <t xml:space="preserve">      Total 7700 Thrift Store of CCM Expenses</t>
  </si>
  <si>
    <t xml:space="preserve">      8100 Administration</t>
  </si>
  <si>
    <t xml:space="preserve">         8101 Admin Salary</t>
  </si>
  <si>
    <t xml:space="preserve">         8103 Bookkeeper</t>
  </si>
  <si>
    <t xml:space="preserve">         8104 Office Help</t>
  </si>
  <si>
    <t xml:space="preserve">         8106 Assistant Director Salary</t>
  </si>
  <si>
    <t xml:space="preserve">         8110 Supplies</t>
  </si>
  <si>
    <t xml:space="preserve">         8111 Website Maint/Advert/Pub Relat</t>
  </si>
  <si>
    <t xml:space="preserve">         8112 Office/General Administrative Expenses</t>
  </si>
  <si>
    <t xml:space="preserve">         8130 Telephone &amp; telecommunications</t>
  </si>
  <si>
    <t xml:space="preserve">         8140 Postage, shipping, delivery</t>
  </si>
  <si>
    <t xml:space="preserve">         8160 Community Events</t>
  </si>
  <si>
    <t xml:space="preserve">         8200 Building Expenses</t>
  </si>
  <si>
    <t xml:space="preserve">         8210 Rent, parking, other occupancy</t>
  </si>
  <si>
    <t xml:space="preserve">         8220 Utilities</t>
  </si>
  <si>
    <t xml:space="preserve">         8500 Misc expenses</t>
  </si>
  <si>
    <t xml:space="preserve">         8520 Insurance - non-employee</t>
  </si>
  <si>
    <t xml:space="preserve">      Total 8100 Administration</t>
  </si>
  <si>
    <t xml:space="preserve">   Total Unrestricted Expenses</t>
  </si>
  <si>
    <t>Total Expenses</t>
  </si>
  <si>
    <t>Net Operating Income</t>
  </si>
  <si>
    <t>Net Income</t>
  </si>
  <si>
    <t>Friday, Mar 10, 2023 08:48:37 AM GMT-8 - Cash Basis</t>
  </si>
  <si>
    <t>Common Cup Ministry Inc.</t>
  </si>
  <si>
    <t>Financials YTD Comparison</t>
  </si>
  <si>
    <t>January - February,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</si>
</sst>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1"/>
  <sheetViews>
    <sheetView tabSelected="1" workbookViewId="0">
      <selection sqref="A1:C1"/>
    </sheetView>
  </sheetViews>
  <sheetFormatPr defaultRowHeight="15" x14ac:dyDescent="0.25"/>
  <cols>
    <col min="1" max="1" width="45.5703125" customWidth="1"/>
    <col min="2" max="2" width="17.42578125" customWidth="1"/>
    <col min="3" max="3" width="14.5703125" customWidth="1"/>
  </cols>
  <sheetData>
    <row r="1" spans="1:3" ht="18" x14ac:dyDescent="0.25">
      <c r="A1" s="12" t="s">
        <v>115</v>
      </c>
      <c r="B1" s="11"/>
      <c r="C1" s="11"/>
    </row>
    <row r="2" spans="1:3" ht="18" x14ac:dyDescent="0.25">
      <c r="A2" s="12" t="s">
        <v>116</v>
      </c>
      <c r="B2" s="11"/>
      <c r="C2" s="11"/>
    </row>
    <row r="3" spans="1:3" x14ac:dyDescent="0.25">
      <c r="A3" s="13" t="s">
        <v>117</v>
      </c>
      <c r="B3" s="11"/>
      <c r="C3" s="11"/>
    </row>
    <row r="5" spans="1:3" x14ac:dyDescent="0.25">
      <c r="A5" s="1"/>
      <c r="B5" s="8" t="s">
        <v>0</v>
      </c>
      <c r="C5" s="9"/>
    </row>
    <row r="6" spans="1:3" ht="24.75" x14ac:dyDescent="0.25">
      <c r="A6" s="1"/>
      <c r="B6" s="2" t="s">
        <v>1</v>
      </c>
      <c r="C6" s="2" t="s">
        <v>2</v>
      </c>
    </row>
    <row r="7" spans="1:3" x14ac:dyDescent="0.25">
      <c r="A7" s="3" t="s">
        <v>3</v>
      </c>
      <c r="B7" s="4"/>
      <c r="C7" s="4"/>
    </row>
    <row r="8" spans="1:3" x14ac:dyDescent="0.25">
      <c r="A8" s="3" t="s">
        <v>4</v>
      </c>
      <c r="B8" s="4"/>
      <c r="C8" s="4"/>
    </row>
    <row r="9" spans="1:3" x14ac:dyDescent="0.25">
      <c r="A9" s="3" t="s">
        <v>5</v>
      </c>
      <c r="B9" s="4"/>
      <c r="C9" s="4"/>
    </row>
    <row r="10" spans="1:3" x14ac:dyDescent="0.25">
      <c r="A10" s="3" t="s">
        <v>6</v>
      </c>
      <c r="B10" s="5">
        <f>16185.64</f>
        <v>16185.64</v>
      </c>
      <c r="C10" s="5">
        <f>18994.04</f>
        <v>18994.04</v>
      </c>
    </row>
    <row r="11" spans="1:3" x14ac:dyDescent="0.25">
      <c r="A11" s="3" t="s">
        <v>7</v>
      </c>
      <c r="B11" s="5">
        <f>15275.17</f>
        <v>15275.17</v>
      </c>
      <c r="C11" s="5">
        <f>14769.89</f>
        <v>14769.89</v>
      </c>
    </row>
    <row r="12" spans="1:3" x14ac:dyDescent="0.25">
      <c r="A12" s="3" t="s">
        <v>8</v>
      </c>
      <c r="B12" s="4"/>
      <c r="C12" s="4"/>
    </row>
    <row r="13" spans="1:3" x14ac:dyDescent="0.25">
      <c r="A13" s="3" t="s">
        <v>9</v>
      </c>
      <c r="B13" s="5">
        <f>449.66</f>
        <v>449.66</v>
      </c>
      <c r="C13" s="5">
        <f>179.05</f>
        <v>179.05</v>
      </c>
    </row>
    <row r="14" spans="1:3" x14ac:dyDescent="0.25">
      <c r="A14" s="3" t="s">
        <v>10</v>
      </c>
      <c r="B14" s="6">
        <f>(B12)+(B13)</f>
        <v>449.66</v>
      </c>
      <c r="C14" s="6">
        <f>(C12)+(C13)</f>
        <v>179.05</v>
      </c>
    </row>
    <row r="15" spans="1:3" x14ac:dyDescent="0.25">
      <c r="A15" s="3" t="s">
        <v>11</v>
      </c>
      <c r="B15" s="4"/>
      <c r="C15" s="4"/>
    </row>
    <row r="16" spans="1:3" x14ac:dyDescent="0.25">
      <c r="A16" s="3" t="s">
        <v>12</v>
      </c>
      <c r="B16" s="4"/>
      <c r="C16" s="4"/>
    </row>
    <row r="17" spans="1:3" x14ac:dyDescent="0.25">
      <c r="A17" s="3" t="s">
        <v>13</v>
      </c>
      <c r="B17" s="5">
        <f>2930.85</f>
        <v>2930.85</v>
      </c>
      <c r="C17" s="5">
        <f>3446.37</f>
        <v>3446.37</v>
      </c>
    </row>
    <row r="18" spans="1:3" x14ac:dyDescent="0.25">
      <c r="A18" s="3" t="s">
        <v>14</v>
      </c>
      <c r="B18" s="5">
        <f>1989.07</f>
        <v>1989.07</v>
      </c>
      <c r="C18" s="5">
        <f>2221.09</f>
        <v>2221.09</v>
      </c>
    </row>
    <row r="19" spans="1:3" x14ac:dyDescent="0.25">
      <c r="A19" s="3" t="s">
        <v>15</v>
      </c>
      <c r="B19" s="5">
        <f>216.15</f>
        <v>216.15</v>
      </c>
      <c r="C19" s="5">
        <f>254.17</f>
        <v>254.17</v>
      </c>
    </row>
    <row r="20" spans="1:3" x14ac:dyDescent="0.25">
      <c r="A20" s="3" t="s">
        <v>16</v>
      </c>
      <c r="B20" s="5">
        <f>48.63</f>
        <v>48.63</v>
      </c>
      <c r="C20" s="5">
        <f>55.25</f>
        <v>55.25</v>
      </c>
    </row>
    <row r="21" spans="1:3" x14ac:dyDescent="0.25">
      <c r="A21" s="3" t="s">
        <v>17</v>
      </c>
      <c r="B21" s="6">
        <f>((((B16)+(B17))+(B18))+(B19))+(B20)</f>
        <v>5184.7</v>
      </c>
      <c r="C21" s="6">
        <f>((((C16)+(C17))+(C18))+(C19))+(C20)</f>
        <v>5976.88</v>
      </c>
    </row>
    <row r="22" spans="1:3" x14ac:dyDescent="0.25">
      <c r="A22" s="3" t="s">
        <v>18</v>
      </c>
      <c r="B22" s="6">
        <f>(B15)+(B21)</f>
        <v>5184.7</v>
      </c>
      <c r="C22" s="6">
        <f>(C15)+(C21)</f>
        <v>5976.88</v>
      </c>
    </row>
    <row r="23" spans="1:3" x14ac:dyDescent="0.25">
      <c r="A23" s="3" t="s">
        <v>19</v>
      </c>
      <c r="B23" s="6">
        <f>((((B9)+(B10))+(B11))+(B14))+(B22)</f>
        <v>37095.17</v>
      </c>
      <c r="C23" s="6">
        <f>((((C9)+(C10))+(C11))+(C14))+(C22)</f>
        <v>39919.86</v>
      </c>
    </row>
    <row r="24" spans="1:3" x14ac:dyDescent="0.25">
      <c r="A24" s="3" t="s">
        <v>20</v>
      </c>
      <c r="B24" s="4"/>
      <c r="C24" s="4"/>
    </row>
    <row r="25" spans="1:3" x14ac:dyDescent="0.25">
      <c r="A25" s="3" t="s">
        <v>21</v>
      </c>
      <c r="B25" s="4"/>
      <c r="C25" s="5">
        <f>400</f>
        <v>400</v>
      </c>
    </row>
    <row r="26" spans="1:3" x14ac:dyDescent="0.25">
      <c r="A26" s="3" t="s">
        <v>22</v>
      </c>
      <c r="B26" s="5">
        <f>6520</f>
        <v>6520</v>
      </c>
      <c r="C26" s="5">
        <f>5826.85</f>
        <v>5826.85</v>
      </c>
    </row>
    <row r="27" spans="1:3" x14ac:dyDescent="0.25">
      <c r="A27" s="3" t="s">
        <v>23</v>
      </c>
      <c r="B27" s="4"/>
      <c r="C27" s="5">
        <f>20</f>
        <v>20</v>
      </c>
    </row>
    <row r="28" spans="1:3" x14ac:dyDescent="0.25">
      <c r="A28" s="3" t="s">
        <v>24</v>
      </c>
      <c r="B28" s="4"/>
      <c r="C28" s="5">
        <f>300</f>
        <v>300</v>
      </c>
    </row>
    <row r="29" spans="1:3" x14ac:dyDescent="0.25">
      <c r="A29" s="3" t="s">
        <v>25</v>
      </c>
      <c r="B29" s="4"/>
      <c r="C29" s="5">
        <f>300</f>
        <v>300</v>
      </c>
    </row>
    <row r="30" spans="1:3" x14ac:dyDescent="0.25">
      <c r="A30" s="3" t="s">
        <v>26</v>
      </c>
      <c r="B30" s="5">
        <f>505</f>
        <v>505</v>
      </c>
      <c r="C30" s="5">
        <f>1080</f>
        <v>1080</v>
      </c>
    </row>
    <row r="31" spans="1:3" x14ac:dyDescent="0.25">
      <c r="A31" s="3" t="s">
        <v>27</v>
      </c>
      <c r="B31" s="6">
        <f>((((((B24)+(B25))+(B26))+(B27))+(B28))+(B29))+(B30)</f>
        <v>7025</v>
      </c>
      <c r="C31" s="6">
        <f>((((((C24)+(C25))+(C26))+(C27))+(C28))+(C29))+(C30)</f>
        <v>7926.85</v>
      </c>
    </row>
    <row r="32" spans="1:3" x14ac:dyDescent="0.25">
      <c r="A32" s="3" t="s">
        <v>28</v>
      </c>
      <c r="B32" s="6">
        <f>((B8)+(B23))+(B31)</f>
        <v>44120.17</v>
      </c>
      <c r="C32" s="6">
        <f>((C8)+(C23))+(C31)</f>
        <v>47846.71</v>
      </c>
    </row>
    <row r="33" spans="1:3" x14ac:dyDescent="0.25">
      <c r="A33" s="3" t="s">
        <v>29</v>
      </c>
      <c r="B33" s="6">
        <f>B32</f>
        <v>44120.17</v>
      </c>
      <c r="C33" s="6">
        <f>C32</f>
        <v>47846.71</v>
      </c>
    </row>
    <row r="34" spans="1:3" x14ac:dyDescent="0.25">
      <c r="A34" s="3" t="s">
        <v>30</v>
      </c>
      <c r="B34" s="6">
        <f>(B33)-(0)</f>
        <v>44120.17</v>
      </c>
      <c r="C34" s="6">
        <f>(C33)-(0)</f>
        <v>47846.71</v>
      </c>
    </row>
    <row r="35" spans="1:3" x14ac:dyDescent="0.25">
      <c r="A35" s="3" t="s">
        <v>31</v>
      </c>
      <c r="B35" s="4"/>
      <c r="C35" s="4"/>
    </row>
    <row r="36" spans="1:3" x14ac:dyDescent="0.25">
      <c r="A36" s="3" t="s">
        <v>32</v>
      </c>
      <c r="B36" s="4"/>
      <c r="C36" s="4"/>
    </row>
    <row r="37" spans="1:3" x14ac:dyDescent="0.25">
      <c r="A37" s="3" t="s">
        <v>33</v>
      </c>
      <c r="B37" s="4"/>
      <c r="C37" s="5">
        <f>0</f>
        <v>0</v>
      </c>
    </row>
    <row r="38" spans="1:3" x14ac:dyDescent="0.25">
      <c r="A38" s="3" t="s">
        <v>34</v>
      </c>
      <c r="B38" s="4"/>
      <c r="C38" s="5">
        <f>0</f>
        <v>0</v>
      </c>
    </row>
    <row r="39" spans="1:3" x14ac:dyDescent="0.25">
      <c r="A39" s="3" t="s">
        <v>35</v>
      </c>
      <c r="B39" s="4"/>
      <c r="C39" s="5">
        <f>0</f>
        <v>0</v>
      </c>
    </row>
    <row r="40" spans="1:3" x14ac:dyDescent="0.25">
      <c r="A40" s="3" t="s">
        <v>36</v>
      </c>
      <c r="B40" s="6">
        <f>(((B36)+(B37))+(B38))+(B39)</f>
        <v>0</v>
      </c>
      <c r="C40" s="6">
        <f>(((C36)+(C37))+(C38))+(C39)</f>
        <v>0</v>
      </c>
    </row>
    <row r="41" spans="1:3" x14ac:dyDescent="0.25">
      <c r="A41" s="3" t="s">
        <v>37</v>
      </c>
      <c r="B41" s="4"/>
      <c r="C41" s="4"/>
    </row>
    <row r="42" spans="1:3" x14ac:dyDescent="0.25">
      <c r="A42" s="3" t="s">
        <v>38</v>
      </c>
      <c r="B42" s="5">
        <f>1216.57</f>
        <v>1216.57</v>
      </c>
      <c r="C42" s="5">
        <f>540.46</f>
        <v>540.46</v>
      </c>
    </row>
    <row r="43" spans="1:3" x14ac:dyDescent="0.25">
      <c r="A43" s="3" t="s">
        <v>39</v>
      </c>
      <c r="B43" s="6">
        <f>(B41)+(B42)</f>
        <v>1216.57</v>
      </c>
      <c r="C43" s="6">
        <f>(C41)+(C42)</f>
        <v>540.46</v>
      </c>
    </row>
    <row r="44" spans="1:3" x14ac:dyDescent="0.25">
      <c r="A44" s="3" t="s">
        <v>40</v>
      </c>
      <c r="B44" s="4"/>
      <c r="C44" s="4"/>
    </row>
    <row r="45" spans="1:3" x14ac:dyDescent="0.25">
      <c r="A45" s="3" t="s">
        <v>41</v>
      </c>
      <c r="B45" s="4"/>
      <c r="C45" s="4"/>
    </row>
    <row r="46" spans="1:3" x14ac:dyDescent="0.25">
      <c r="A46" s="3" t="s">
        <v>42</v>
      </c>
      <c r="B46" s="4"/>
      <c r="C46" s="5">
        <f>27.5</f>
        <v>27.5</v>
      </c>
    </row>
    <row r="47" spans="1:3" x14ac:dyDescent="0.25">
      <c r="A47" s="3" t="s">
        <v>43</v>
      </c>
      <c r="B47" s="5">
        <f>455</f>
        <v>455</v>
      </c>
      <c r="C47" s="5">
        <f>166.53</f>
        <v>166.53</v>
      </c>
    </row>
    <row r="48" spans="1:3" x14ac:dyDescent="0.25">
      <c r="A48" s="3" t="s">
        <v>44</v>
      </c>
      <c r="B48" s="5">
        <f>1400</f>
        <v>1400</v>
      </c>
      <c r="C48" s="5">
        <f>2100</f>
        <v>2100</v>
      </c>
    </row>
    <row r="49" spans="1:3" x14ac:dyDescent="0.25">
      <c r="A49" s="3" t="s">
        <v>45</v>
      </c>
      <c r="B49" s="5">
        <f>1700</f>
        <v>1700</v>
      </c>
      <c r="C49" s="4"/>
    </row>
    <row r="50" spans="1:3" x14ac:dyDescent="0.25">
      <c r="A50" s="3" t="s">
        <v>46</v>
      </c>
      <c r="B50" s="5">
        <f>667.91</f>
        <v>667.91</v>
      </c>
      <c r="C50" s="5">
        <f>39.99</f>
        <v>39.99</v>
      </c>
    </row>
    <row r="51" spans="1:3" x14ac:dyDescent="0.25">
      <c r="A51" s="3" t="s">
        <v>47</v>
      </c>
      <c r="B51" s="5">
        <f>525</f>
        <v>525</v>
      </c>
      <c r="C51" s="5">
        <f>350</f>
        <v>350</v>
      </c>
    </row>
    <row r="52" spans="1:3" x14ac:dyDescent="0.25">
      <c r="A52" s="3" t="s">
        <v>48</v>
      </c>
      <c r="B52" s="5">
        <f>12556.97</f>
        <v>12556.97</v>
      </c>
      <c r="C52" s="5">
        <f>10483.84</f>
        <v>10483.84</v>
      </c>
    </row>
    <row r="53" spans="1:3" x14ac:dyDescent="0.25">
      <c r="A53" s="3" t="s">
        <v>49</v>
      </c>
      <c r="B53" s="5">
        <f>750</f>
        <v>750</v>
      </c>
      <c r="C53" s="5">
        <f>730</f>
        <v>730</v>
      </c>
    </row>
    <row r="54" spans="1:3" x14ac:dyDescent="0.25">
      <c r="A54" s="3" t="s">
        <v>50</v>
      </c>
      <c r="B54" s="6">
        <f>(B52)+(B53)</f>
        <v>13306.97</v>
      </c>
      <c r="C54" s="6">
        <f>(C52)+(C53)</f>
        <v>11213.84</v>
      </c>
    </row>
    <row r="55" spans="1:3" x14ac:dyDescent="0.25">
      <c r="A55" s="3" t="s">
        <v>51</v>
      </c>
      <c r="B55" s="5">
        <f>270.54</f>
        <v>270.54000000000002</v>
      </c>
      <c r="C55" s="4"/>
    </row>
    <row r="56" spans="1:3" x14ac:dyDescent="0.25">
      <c r="A56" s="3" t="s">
        <v>52</v>
      </c>
      <c r="B56" s="5">
        <f>1358.47</f>
        <v>1358.47</v>
      </c>
      <c r="C56" s="5">
        <f>1683.5</f>
        <v>1683.5</v>
      </c>
    </row>
    <row r="57" spans="1:3" x14ac:dyDescent="0.25">
      <c r="A57" s="3" t="s">
        <v>53</v>
      </c>
      <c r="B57" s="5">
        <f>500.36</f>
        <v>500.36</v>
      </c>
      <c r="C57" s="5">
        <f>595</f>
        <v>595</v>
      </c>
    </row>
    <row r="58" spans="1:3" x14ac:dyDescent="0.25">
      <c r="A58" s="3" t="s">
        <v>54</v>
      </c>
      <c r="B58" s="5">
        <f>17</f>
        <v>17</v>
      </c>
      <c r="C58" s="5">
        <f>400</f>
        <v>400</v>
      </c>
    </row>
    <row r="59" spans="1:3" x14ac:dyDescent="0.25">
      <c r="A59" s="3" t="s">
        <v>55</v>
      </c>
      <c r="B59" s="4"/>
      <c r="C59" s="5">
        <f>150</f>
        <v>150</v>
      </c>
    </row>
    <row r="60" spans="1:3" x14ac:dyDescent="0.25">
      <c r="A60" s="3" t="s">
        <v>56</v>
      </c>
      <c r="B60" s="5">
        <f>945</f>
        <v>945</v>
      </c>
      <c r="C60" s="5">
        <f>645</f>
        <v>645</v>
      </c>
    </row>
    <row r="61" spans="1:3" x14ac:dyDescent="0.25">
      <c r="A61" s="3" t="s">
        <v>57</v>
      </c>
      <c r="B61" s="5">
        <f>25</f>
        <v>25</v>
      </c>
      <c r="C61" s="5">
        <f>65.56</f>
        <v>65.56</v>
      </c>
    </row>
    <row r="62" spans="1:3" x14ac:dyDescent="0.25">
      <c r="A62" s="3" t="s">
        <v>58</v>
      </c>
      <c r="B62" s="4"/>
      <c r="C62" s="5">
        <f>120</f>
        <v>120</v>
      </c>
    </row>
    <row r="63" spans="1:3" x14ac:dyDescent="0.25">
      <c r="A63" s="3" t="s">
        <v>59</v>
      </c>
      <c r="B63" s="4"/>
      <c r="C63" s="5">
        <f>1000</f>
        <v>1000</v>
      </c>
    </row>
    <row r="64" spans="1:3" x14ac:dyDescent="0.25">
      <c r="A64" s="3" t="s">
        <v>60</v>
      </c>
      <c r="B64" s="5">
        <f>38.83</f>
        <v>38.83</v>
      </c>
      <c r="C64" s="5">
        <f>87.08</f>
        <v>87.08</v>
      </c>
    </row>
    <row r="65" spans="1:3" x14ac:dyDescent="0.25">
      <c r="A65" s="3" t="s">
        <v>61</v>
      </c>
      <c r="B65" s="5">
        <f>98.59</f>
        <v>98.59</v>
      </c>
      <c r="C65" s="4"/>
    </row>
    <row r="66" spans="1:3" x14ac:dyDescent="0.25">
      <c r="A66" s="3" t="s">
        <v>62</v>
      </c>
      <c r="B66" s="5">
        <f>775.91</f>
        <v>775.91</v>
      </c>
      <c r="C66" s="5">
        <f>195.25</f>
        <v>195.25</v>
      </c>
    </row>
    <row r="67" spans="1:3" x14ac:dyDescent="0.25">
      <c r="A67" s="3" t="s">
        <v>63</v>
      </c>
      <c r="B67" s="4"/>
      <c r="C67" s="5">
        <f>59.76</f>
        <v>59.76</v>
      </c>
    </row>
    <row r="68" spans="1:3" x14ac:dyDescent="0.25">
      <c r="A68" s="3" t="s">
        <v>64</v>
      </c>
      <c r="B68" s="6">
        <f>(((((((((((((((((((B46)+(B47))+(B48))+(B49))+(B50))+(B51))+(B54))+(B55))+(B56))+(B57))+(B58))+(B59))+(B60))+(B61))+(B62))+(B63))+(B64))+(B65))+(B66))+(B67)</f>
        <v>22084.58</v>
      </c>
      <c r="C68" s="6">
        <f>(((((((((((((((((((C46)+(C47))+(C48))+(C49))+(C50))+(C51))+(C54))+(C55))+(C56))+(C57))+(C58))+(C59))+(C60))+(C61))+(C62))+(C63))+(C64))+(C65))+(C66))+(C67)</f>
        <v>18899.010000000002</v>
      </c>
    </row>
    <row r="69" spans="1:3" x14ac:dyDescent="0.25">
      <c r="A69" s="3" t="s">
        <v>65</v>
      </c>
      <c r="B69" s="5">
        <f>214.34</f>
        <v>214.34</v>
      </c>
      <c r="C69" s="4"/>
    </row>
    <row r="70" spans="1:3" x14ac:dyDescent="0.25">
      <c r="A70" s="3" t="s">
        <v>66</v>
      </c>
      <c r="B70" s="5">
        <f>25</f>
        <v>25</v>
      </c>
      <c r="C70" s="4"/>
    </row>
    <row r="71" spans="1:3" x14ac:dyDescent="0.25">
      <c r="A71" s="3" t="s">
        <v>67</v>
      </c>
      <c r="B71" s="6">
        <f>(((B45)+(B68))+(B69))+(B70)</f>
        <v>22323.920000000002</v>
      </c>
      <c r="C71" s="6">
        <f>(((C45)+(C68))+(C69))+(C70)</f>
        <v>18899.010000000002</v>
      </c>
    </row>
    <row r="72" spans="1:3" x14ac:dyDescent="0.25">
      <c r="A72" s="3" t="s">
        <v>68</v>
      </c>
      <c r="B72" s="4"/>
      <c r="C72" s="4"/>
    </row>
    <row r="73" spans="1:3" x14ac:dyDescent="0.25">
      <c r="A73" s="3" t="s">
        <v>69</v>
      </c>
      <c r="B73" s="5">
        <f>108.38</f>
        <v>108.38</v>
      </c>
      <c r="C73" s="5">
        <f>107.36</f>
        <v>107.36</v>
      </c>
    </row>
    <row r="74" spans="1:3" x14ac:dyDescent="0.25">
      <c r="A74" s="3" t="s">
        <v>70</v>
      </c>
      <c r="B74" s="5">
        <f>10.57</f>
        <v>10.57</v>
      </c>
      <c r="C74" s="4"/>
    </row>
    <row r="75" spans="1:3" x14ac:dyDescent="0.25">
      <c r="A75" s="3" t="s">
        <v>71</v>
      </c>
      <c r="B75" s="5">
        <f>2520.84</f>
        <v>2520.84</v>
      </c>
      <c r="C75" s="5">
        <f>2039.82</f>
        <v>2039.82</v>
      </c>
    </row>
    <row r="76" spans="1:3" x14ac:dyDescent="0.25">
      <c r="A76" s="3" t="s">
        <v>72</v>
      </c>
      <c r="B76" s="6">
        <f>(((B72)+(B73))+(B74))+(B75)</f>
        <v>2639.79</v>
      </c>
      <c r="C76" s="6">
        <f>(((C72)+(C73))+(C74))+(C75)</f>
        <v>2147.1799999999998</v>
      </c>
    </row>
    <row r="77" spans="1:3" x14ac:dyDescent="0.25">
      <c r="A77" s="3" t="s">
        <v>73</v>
      </c>
      <c r="B77" s="5">
        <f>633.23</f>
        <v>633.23</v>
      </c>
      <c r="C77" s="5">
        <f>634.14</f>
        <v>634.14</v>
      </c>
    </row>
    <row r="78" spans="1:3" x14ac:dyDescent="0.25">
      <c r="A78" s="3" t="s">
        <v>74</v>
      </c>
      <c r="B78" s="6">
        <f>(((B44)+(B71))+(B76))+(B77)</f>
        <v>25596.940000000002</v>
      </c>
      <c r="C78" s="6">
        <f>(((C44)+(C71))+(C76))+(C77)</f>
        <v>21680.33</v>
      </c>
    </row>
    <row r="79" spans="1:3" x14ac:dyDescent="0.25">
      <c r="A79" s="3" t="s">
        <v>75</v>
      </c>
      <c r="B79" s="4"/>
      <c r="C79" s="5">
        <f>0</f>
        <v>0</v>
      </c>
    </row>
    <row r="80" spans="1:3" x14ac:dyDescent="0.25">
      <c r="A80" s="3" t="s">
        <v>76</v>
      </c>
      <c r="B80" s="4"/>
      <c r="C80" s="4"/>
    </row>
    <row r="81" spans="1:3" x14ac:dyDescent="0.25">
      <c r="A81" s="3" t="s">
        <v>77</v>
      </c>
      <c r="B81" s="4"/>
      <c r="C81" s="4"/>
    </row>
    <row r="82" spans="1:3" x14ac:dyDescent="0.25">
      <c r="A82" s="3" t="s">
        <v>78</v>
      </c>
      <c r="B82" s="4"/>
      <c r="C82" s="5">
        <f>540.47</f>
        <v>540.47</v>
      </c>
    </row>
    <row r="83" spans="1:3" x14ac:dyDescent="0.25">
      <c r="A83" s="3" t="s">
        <v>79</v>
      </c>
      <c r="B83" s="6">
        <f>(B81)+(B82)</f>
        <v>0</v>
      </c>
      <c r="C83" s="6">
        <f>(C81)+(C82)</f>
        <v>540.47</v>
      </c>
    </row>
    <row r="84" spans="1:3" x14ac:dyDescent="0.25">
      <c r="A84" s="3" t="s">
        <v>80</v>
      </c>
      <c r="B84" s="5">
        <f>56.93</f>
        <v>56.93</v>
      </c>
      <c r="C84" s="4"/>
    </row>
    <row r="85" spans="1:3" x14ac:dyDescent="0.25">
      <c r="A85" s="3" t="s">
        <v>81</v>
      </c>
      <c r="B85" s="4"/>
      <c r="C85" s="4"/>
    </row>
    <row r="86" spans="1:3" x14ac:dyDescent="0.25">
      <c r="A86" s="3" t="s">
        <v>82</v>
      </c>
      <c r="B86" s="5">
        <f>2550</f>
        <v>2550</v>
      </c>
      <c r="C86" s="5">
        <f>2500</f>
        <v>2500</v>
      </c>
    </row>
    <row r="87" spans="1:3" x14ac:dyDescent="0.25">
      <c r="A87" s="3" t="s">
        <v>83</v>
      </c>
      <c r="B87" s="5">
        <f>780.16</f>
        <v>780.16</v>
      </c>
      <c r="C87" s="5">
        <f>780.16</f>
        <v>780.16</v>
      </c>
    </row>
    <row r="88" spans="1:3" x14ac:dyDescent="0.25">
      <c r="A88" s="3" t="s">
        <v>84</v>
      </c>
      <c r="B88" s="5">
        <f>87.92</f>
        <v>87.92</v>
      </c>
      <c r="C88" s="5">
        <f>89.26</f>
        <v>89.26</v>
      </c>
    </row>
    <row r="89" spans="1:3" x14ac:dyDescent="0.25">
      <c r="A89" s="3" t="s">
        <v>85</v>
      </c>
      <c r="B89" s="5">
        <f>275.02</f>
        <v>275.02</v>
      </c>
      <c r="C89" s="5">
        <f>275.02</f>
        <v>275.02</v>
      </c>
    </row>
    <row r="90" spans="1:3" x14ac:dyDescent="0.25">
      <c r="A90" s="3" t="s">
        <v>86</v>
      </c>
      <c r="B90" s="5">
        <f>90.04</f>
        <v>90.04</v>
      </c>
      <c r="C90" s="5">
        <f>215.87</f>
        <v>215.87</v>
      </c>
    </row>
    <row r="91" spans="1:3" x14ac:dyDescent="0.25">
      <c r="A91" s="3" t="s">
        <v>87</v>
      </c>
      <c r="B91" s="5">
        <f>255.13</f>
        <v>255.13</v>
      </c>
      <c r="C91" s="5">
        <f>78.04</f>
        <v>78.040000000000006</v>
      </c>
    </row>
    <row r="92" spans="1:3" x14ac:dyDescent="0.25">
      <c r="A92" s="3" t="s">
        <v>88</v>
      </c>
      <c r="B92" s="5">
        <f>765</f>
        <v>765</v>
      </c>
      <c r="C92" s="5">
        <f>455</f>
        <v>455</v>
      </c>
    </row>
    <row r="93" spans="1:3" x14ac:dyDescent="0.25">
      <c r="A93" s="3" t="s">
        <v>89</v>
      </c>
      <c r="B93" s="5">
        <f>477.05</f>
        <v>477.05</v>
      </c>
      <c r="C93" s="5">
        <f>477.03</f>
        <v>477.03</v>
      </c>
    </row>
    <row r="94" spans="1:3" x14ac:dyDescent="0.25">
      <c r="A94" s="3" t="s">
        <v>90</v>
      </c>
      <c r="B94" s="4"/>
      <c r="C94" s="5">
        <f>290.8</f>
        <v>290.8</v>
      </c>
    </row>
    <row r="95" spans="1:3" x14ac:dyDescent="0.25">
      <c r="A95" s="3" t="s">
        <v>91</v>
      </c>
      <c r="B95" s="5">
        <f>566</f>
        <v>566</v>
      </c>
      <c r="C95" s="5">
        <f>556</f>
        <v>556</v>
      </c>
    </row>
    <row r="96" spans="1:3" x14ac:dyDescent="0.25">
      <c r="A96" s="3" t="s">
        <v>92</v>
      </c>
      <c r="B96" s="6">
        <f>((((((((((B85)+(B86))+(B87))+(B88))+(B89))+(B90))+(B91))+(B92))+(B93))+(B94))+(B95)</f>
        <v>5846.3200000000006</v>
      </c>
      <c r="C96" s="6">
        <f>((((((((((C85)+(C86))+(C87))+(C88))+(C89))+(C90))+(C91))+(C92))+(C93))+(C94))+(C95)</f>
        <v>5717.18</v>
      </c>
    </row>
    <row r="97" spans="1:3" x14ac:dyDescent="0.25">
      <c r="A97" s="3" t="s">
        <v>93</v>
      </c>
      <c r="B97" s="4"/>
      <c r="C97" s="4"/>
    </row>
    <row r="98" spans="1:3" x14ac:dyDescent="0.25">
      <c r="A98" s="3" t="s">
        <v>94</v>
      </c>
      <c r="B98" s="5">
        <f>6786.84</f>
        <v>6786.84</v>
      </c>
      <c r="C98" s="5">
        <f>6378.1</f>
        <v>6378.1</v>
      </c>
    </row>
    <row r="99" spans="1:3" x14ac:dyDescent="0.25">
      <c r="A99" s="3" t="s">
        <v>95</v>
      </c>
      <c r="B99" s="5">
        <f>2059.2</f>
        <v>2059.1999999999998</v>
      </c>
      <c r="C99" s="5">
        <f>1872</f>
        <v>1872</v>
      </c>
    </row>
    <row r="100" spans="1:3" x14ac:dyDescent="0.25">
      <c r="A100" s="3" t="s">
        <v>96</v>
      </c>
      <c r="B100" s="5">
        <f>150</f>
        <v>150</v>
      </c>
      <c r="C100" s="4"/>
    </row>
    <row r="101" spans="1:3" x14ac:dyDescent="0.25">
      <c r="A101" s="3" t="s">
        <v>97</v>
      </c>
      <c r="B101" s="5">
        <f>4536</f>
        <v>4536</v>
      </c>
      <c r="C101" s="5">
        <f>3840</f>
        <v>3840</v>
      </c>
    </row>
    <row r="102" spans="1:3" x14ac:dyDescent="0.25">
      <c r="A102" s="3" t="s">
        <v>98</v>
      </c>
      <c r="B102" s="5">
        <f>652.04</f>
        <v>652.04</v>
      </c>
      <c r="C102" s="5">
        <f>29.82</f>
        <v>29.82</v>
      </c>
    </row>
    <row r="103" spans="1:3" x14ac:dyDescent="0.25">
      <c r="A103" s="3" t="s">
        <v>99</v>
      </c>
      <c r="B103" s="5">
        <f>485</f>
        <v>485</v>
      </c>
      <c r="C103" s="5">
        <f>480</f>
        <v>480</v>
      </c>
    </row>
    <row r="104" spans="1:3" x14ac:dyDescent="0.25">
      <c r="A104" s="3" t="s">
        <v>100</v>
      </c>
      <c r="B104" s="5">
        <f>274.96</f>
        <v>274.95999999999998</v>
      </c>
      <c r="C104" s="5">
        <f>1022.87</f>
        <v>1022.87</v>
      </c>
    </row>
    <row r="105" spans="1:3" x14ac:dyDescent="0.25">
      <c r="A105" s="3" t="s">
        <v>101</v>
      </c>
      <c r="B105" s="5">
        <f>317.81</f>
        <v>317.81</v>
      </c>
      <c r="C105" s="5">
        <f>310.66</f>
        <v>310.66000000000003</v>
      </c>
    </row>
    <row r="106" spans="1:3" x14ac:dyDescent="0.25">
      <c r="A106" s="3" t="s">
        <v>102</v>
      </c>
      <c r="B106" s="5">
        <f>63</f>
        <v>63</v>
      </c>
      <c r="C106" s="4"/>
    </row>
    <row r="107" spans="1:3" x14ac:dyDescent="0.25">
      <c r="A107" s="3" t="s">
        <v>103</v>
      </c>
      <c r="B107" s="5">
        <f>85</f>
        <v>85</v>
      </c>
      <c r="C107" s="5">
        <f>75</f>
        <v>75</v>
      </c>
    </row>
    <row r="108" spans="1:3" x14ac:dyDescent="0.25">
      <c r="A108" s="3" t="s">
        <v>104</v>
      </c>
      <c r="B108" s="5">
        <f>592.53</f>
        <v>592.53</v>
      </c>
      <c r="C108" s="5">
        <f>723.4</f>
        <v>723.4</v>
      </c>
    </row>
    <row r="109" spans="1:3" x14ac:dyDescent="0.25">
      <c r="A109" s="3" t="s">
        <v>105</v>
      </c>
      <c r="B109" s="5">
        <f>2952</f>
        <v>2952</v>
      </c>
      <c r="C109" s="5">
        <f>2900</f>
        <v>2900</v>
      </c>
    </row>
    <row r="110" spans="1:3" x14ac:dyDescent="0.25">
      <c r="A110" s="3" t="s">
        <v>106</v>
      </c>
      <c r="B110" s="5">
        <f>277.62</f>
        <v>277.62</v>
      </c>
      <c r="C110" s="5">
        <f>262.7</f>
        <v>262.7</v>
      </c>
    </row>
    <row r="111" spans="1:3" x14ac:dyDescent="0.25">
      <c r="A111" s="3" t="s">
        <v>107</v>
      </c>
      <c r="B111" s="5">
        <f>-0.05</f>
        <v>-0.05</v>
      </c>
      <c r="C111" s="4"/>
    </row>
    <row r="112" spans="1:3" x14ac:dyDescent="0.25">
      <c r="A112" s="3" t="s">
        <v>108</v>
      </c>
      <c r="B112" s="5">
        <f>1198</f>
        <v>1198</v>
      </c>
      <c r="C112" s="5">
        <f>1198</f>
        <v>1198</v>
      </c>
    </row>
    <row r="113" spans="1:3" x14ac:dyDescent="0.25">
      <c r="A113" s="3" t="s">
        <v>109</v>
      </c>
      <c r="B113" s="6">
        <f>(((((((((((((((B97)+(B98))+(B99))+(B100))+(B101))+(B102))+(B103))+(B104))+(B105))+(B106))+(B107))+(B108))+(B109))+(B110))+(B111))+(B112)</f>
        <v>20429.95</v>
      </c>
      <c r="C113" s="6">
        <f>(((((((((((((((C97)+(C98))+(C99))+(C100))+(C101))+(C102))+(C103))+(C104))+(C105))+(C106))+(C107))+(C108))+(C109))+(C110))+(C111))+(C112)</f>
        <v>19092.55</v>
      </c>
    </row>
    <row r="114" spans="1:3" x14ac:dyDescent="0.25">
      <c r="A114" s="3" t="s">
        <v>110</v>
      </c>
      <c r="B114" s="6">
        <f>((((B80)+(B83))+(B84))+(B96))+(B113)</f>
        <v>26333.200000000001</v>
      </c>
      <c r="C114" s="6">
        <f>((((C80)+(C83))+(C84))+(C96))+(C113)</f>
        <v>25350.2</v>
      </c>
    </row>
    <row r="115" spans="1:3" x14ac:dyDescent="0.25">
      <c r="A115" s="3" t="s">
        <v>111</v>
      </c>
      <c r="B115" s="6">
        <f>((((B40)+(B43))+(B78))+(B79))+(B114)</f>
        <v>53146.710000000006</v>
      </c>
      <c r="C115" s="6">
        <f>((((C40)+(C43))+(C78))+(C79))+(C114)</f>
        <v>47570.990000000005</v>
      </c>
    </row>
    <row r="116" spans="1:3" x14ac:dyDescent="0.25">
      <c r="A116" s="3" t="s">
        <v>112</v>
      </c>
      <c r="B116" s="6">
        <f>(B34)-(B115)</f>
        <v>-9026.5400000000081</v>
      </c>
      <c r="C116" s="6">
        <f>(C34)-(C115)</f>
        <v>275.71999999999389</v>
      </c>
    </row>
    <row r="117" spans="1:3" x14ac:dyDescent="0.25">
      <c r="A117" s="3" t="s">
        <v>113</v>
      </c>
      <c r="B117" s="7">
        <f>(B116)+(0)</f>
        <v>-9026.5400000000081</v>
      </c>
      <c r="C117" s="7">
        <f>(C116)+(0)</f>
        <v>275.71999999999389</v>
      </c>
    </row>
    <row r="118" spans="1:3" x14ac:dyDescent="0.25">
      <c r="A118" s="3"/>
      <c r="B118" s="4"/>
      <c r="C118" s="4"/>
    </row>
    <row r="121" spans="1:3" x14ac:dyDescent="0.25">
      <c r="A121" s="10" t="s">
        <v>114</v>
      </c>
      <c r="B121" s="11"/>
      <c r="C121" s="11"/>
    </row>
  </sheetData>
  <mergeCells count="5">
    <mergeCell ref="B5:C5"/>
    <mergeCell ref="A121:C121"/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YTD Comparison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Common Cup</cp:lastModifiedBy>
  <dcterms:created xsi:type="dcterms:W3CDTF">2023-03-10T16:48:37Z</dcterms:created>
  <dcterms:modified xsi:type="dcterms:W3CDTF">2023-03-10T16:49:59Z</dcterms:modified>
</cp:coreProperties>
</file>